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100" windowHeight="9030"/>
  </bookViews>
  <sheets>
    <sheet name="Trafo" sheetId="1" r:id="rId1"/>
  </sheets>
  <calcPr calcId="125725"/>
</workbook>
</file>

<file path=xl/calcChain.xml><?xml version="1.0" encoding="utf-8"?>
<calcChain xmlns="http://schemas.openxmlformats.org/spreadsheetml/2006/main">
  <c r="D24" i="1"/>
  <c r="B24"/>
  <c r="B23"/>
  <c r="D26"/>
  <c r="D25"/>
  <c r="B21"/>
  <c r="P28"/>
  <c r="O28"/>
  <c r="N28"/>
  <c r="M28"/>
  <c r="L28"/>
  <c r="G28"/>
  <c r="H28"/>
  <c r="I28"/>
  <c r="J28"/>
  <c r="K28"/>
  <c r="F28"/>
  <c r="B4"/>
  <c r="B12"/>
  <c r="B8"/>
  <c r="B13"/>
  <c r="B14"/>
  <c r="B15"/>
  <c r="B16"/>
  <c r="B17"/>
  <c r="B18"/>
  <c r="B26"/>
  <c r="B27"/>
  <c r="B28"/>
</calcChain>
</file>

<file path=xl/sharedStrings.xml><?xml version="1.0" encoding="utf-8"?>
<sst xmlns="http://schemas.openxmlformats.org/spreadsheetml/2006/main" count="65" uniqueCount="44">
  <si>
    <t>R1</t>
  </si>
  <si>
    <t>Ohm</t>
  </si>
  <si>
    <t>Fast</t>
  </si>
  <si>
    <t>Beregnet</t>
  </si>
  <si>
    <t>Beregning på trafo</t>
  </si>
  <si>
    <t>Volt</t>
  </si>
  <si>
    <t>Up ubelastet</t>
  </si>
  <si>
    <t>Us ubelastet</t>
  </si>
  <si>
    <t>N = Up/Us</t>
  </si>
  <si>
    <t>Imax opgivet</t>
  </si>
  <si>
    <t>Ipri = Isek/N</t>
  </si>
  <si>
    <t>URs = Imax * Rs</t>
  </si>
  <si>
    <t>URp = Ipri * Rp</t>
  </si>
  <si>
    <t>URPs Spændingstab sekundær = URp/N</t>
  </si>
  <si>
    <t>Utot spændingstab sekundær = URs + Urps</t>
  </si>
  <si>
    <t>Udgangsspænding på trafo ved 300mA = Us-Utot</t>
  </si>
  <si>
    <t>Ri trafo = ΔU/ΔI</t>
  </si>
  <si>
    <t>Rp efter LM317 beregneren</t>
  </si>
  <si>
    <t>P5 justeret til = (R1*Rp)/(R1-Rp)</t>
  </si>
  <si>
    <t>Rp målt (de nøjagtige værdier kommer)</t>
  </si>
  <si>
    <t>Rs målt (de nøjagtige værdier kommer)</t>
  </si>
  <si>
    <t>Amp</t>
  </si>
  <si>
    <t>Beregning af hysteresis</t>
  </si>
  <si>
    <t>Potentiometer P4</t>
  </si>
  <si>
    <t>R9</t>
  </si>
  <si>
    <t>Hysteresis = Gainfaktor * Output signal</t>
  </si>
  <si>
    <t>Hysteresis mV</t>
  </si>
  <si>
    <t>Hysteresis som funktion af P4 parallel forbindelse</t>
  </si>
  <si>
    <t>IC's Output swing</t>
  </si>
  <si>
    <t>Indsæt pH On/Off</t>
  </si>
  <si>
    <t>Aflæs Volt P4 arm</t>
  </si>
  <si>
    <t>Reguleret udgangsspænding fra LM317</t>
  </si>
  <si>
    <t>Px = P4 arm til top</t>
  </si>
  <si>
    <t>Py = P4 bund til arm</t>
  </si>
  <si>
    <r>
      <t xml:space="preserve">P4 arm til top </t>
    </r>
    <r>
      <rPr>
        <sz val="11"/>
        <color indexed="8"/>
        <rFont val="Calibri"/>
        <family val="2"/>
      </rPr>
      <t>Ω</t>
    </r>
  </si>
  <si>
    <r>
      <t xml:space="preserve">Px // Py parallel </t>
    </r>
    <r>
      <rPr>
        <sz val="11"/>
        <color indexed="8"/>
        <rFont val="Calibri"/>
        <family val="2"/>
      </rPr>
      <t>Ω</t>
    </r>
  </si>
  <si>
    <t>Beregning af parallel modstande til LM317</t>
  </si>
  <si>
    <t>Px  // Py = (Px*Py)/(Px+Py)</t>
  </si>
  <si>
    <t>Gainfaktor (Px // Py)/R9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</si>
  <si>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</si>
  <si>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 xml:space="preserve">www.walter-lystfisker.dk </t>
  </si>
  <si>
    <t>COPYRIGHT © 2014</t>
  </si>
  <si>
    <t>walter</t>
  </si>
  <si>
    <t>Reg.No.1243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</si>
</sst>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_ * #,##0_ ;_ * \-#,##0_ ;_ * &quot;-&quot;??_ ;_ @_ "/>
    <numFmt numFmtId="165" formatCode="_ * #,##0.0000_ ;_ * \-#,##0.0000_ ;_ * &quot;-&quot;??_ ;_ @_ "/>
    <numFmt numFmtId="166" formatCode="0.000"/>
    <numFmt numFmtId="167" formatCode="_ * #,##0.000_ ;_ * \-#,##0.000_ ;_ * &quot;-&quot;???_ ;_ @_ "/>
  </numFmts>
  <fonts count="12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0" tint="-0.1499984740745262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6" fillId="0" borderId="0" xfId="0" applyFont="1" applyProtection="1">
      <protection hidden="1"/>
    </xf>
    <xf numFmtId="0" fontId="6" fillId="2" borderId="1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6" fillId="2" borderId="2" xfId="0" applyFont="1" applyFill="1" applyBorder="1" applyProtection="1">
      <protection hidden="1"/>
    </xf>
    <xf numFmtId="0" fontId="6" fillId="2" borderId="3" xfId="0" applyFont="1" applyFill="1" applyBorder="1" applyProtection="1">
      <protection hidden="1"/>
    </xf>
    <xf numFmtId="0" fontId="6" fillId="2" borderId="4" xfId="0" applyFont="1" applyFill="1" applyBorder="1" applyProtection="1">
      <protection hidden="1"/>
    </xf>
    <xf numFmtId="164" fontId="6" fillId="2" borderId="0" xfId="1" applyNumberFormat="1" applyFont="1" applyFill="1" applyBorder="1" applyProtection="1">
      <protection hidden="1"/>
    </xf>
    <xf numFmtId="43" fontId="6" fillId="2" borderId="0" xfId="1" applyFont="1" applyFill="1" applyBorder="1" applyProtection="1">
      <protection hidden="1"/>
    </xf>
    <xf numFmtId="43" fontId="6" fillId="2" borderId="0" xfId="0" applyNumberFormat="1" applyFont="1" applyFill="1" applyBorder="1" applyProtection="1">
      <protection hidden="1"/>
    </xf>
    <xf numFmtId="165" fontId="6" fillId="2" borderId="0" xfId="0" applyNumberFormat="1" applyFont="1" applyFill="1" applyBorder="1" applyProtection="1">
      <protection hidden="1"/>
    </xf>
    <xf numFmtId="164" fontId="6" fillId="3" borderId="0" xfId="1" applyNumberFormat="1" applyFont="1" applyFill="1" applyBorder="1" applyProtection="1">
      <protection locked="0"/>
    </xf>
    <xf numFmtId="43" fontId="6" fillId="3" borderId="0" xfId="1" applyFont="1" applyFill="1" applyBorder="1" applyProtection="1">
      <protection locked="0"/>
    </xf>
    <xf numFmtId="164" fontId="6" fillId="2" borderId="0" xfId="0" applyNumberFormat="1" applyFont="1" applyFill="1" applyBorder="1" applyProtection="1"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165" fontId="6" fillId="2" borderId="4" xfId="0" applyNumberFormat="1" applyFont="1" applyFill="1" applyBorder="1" applyProtection="1">
      <protection hidden="1"/>
    </xf>
    <xf numFmtId="0" fontId="6" fillId="2" borderId="5" xfId="0" applyFont="1" applyFill="1" applyBorder="1" applyProtection="1">
      <protection hidden="1"/>
    </xf>
    <xf numFmtId="0" fontId="6" fillId="2" borderId="6" xfId="0" applyFont="1" applyFill="1" applyBorder="1" applyProtection="1">
      <protection hidden="1"/>
    </xf>
    <xf numFmtId="0" fontId="6" fillId="2" borderId="7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166" fontId="1" fillId="2" borderId="2" xfId="0" applyNumberFormat="1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2" fontId="1" fillId="2" borderId="2" xfId="0" applyNumberFormat="1" applyFont="1" applyFill="1" applyBorder="1" applyAlignment="1" applyProtection="1">
      <alignment horizontal="center"/>
      <protection hidden="1"/>
    </xf>
    <xf numFmtId="3" fontId="6" fillId="2" borderId="0" xfId="0" applyNumberFormat="1" applyFont="1" applyFill="1" applyBorder="1" applyProtection="1">
      <protection hidden="1"/>
    </xf>
    <xf numFmtId="3" fontId="6" fillId="2" borderId="2" xfId="0" applyNumberFormat="1" applyFont="1" applyFill="1" applyBorder="1" applyProtection="1">
      <protection hidden="1"/>
    </xf>
    <xf numFmtId="2" fontId="6" fillId="2" borderId="4" xfId="0" applyNumberFormat="1" applyFont="1" applyFill="1" applyBorder="1" applyProtection="1">
      <protection hidden="1"/>
    </xf>
    <xf numFmtId="2" fontId="6" fillId="2" borderId="8" xfId="0" applyNumberFormat="1" applyFont="1" applyFill="1" applyBorder="1" applyProtection="1">
      <protection hidden="1"/>
    </xf>
    <xf numFmtId="0" fontId="6" fillId="2" borderId="9" xfId="0" applyFont="1" applyFill="1" applyBorder="1" applyProtection="1">
      <protection hidden="1"/>
    </xf>
    <xf numFmtId="164" fontId="6" fillId="2" borderId="10" xfId="0" applyNumberFormat="1" applyFont="1" applyFill="1" applyBorder="1" applyProtection="1">
      <protection hidden="1"/>
    </xf>
    <xf numFmtId="0" fontId="6" fillId="2" borderId="10" xfId="0" applyFont="1" applyFill="1" applyBorder="1" applyProtection="1">
      <protection hidden="1"/>
    </xf>
    <xf numFmtId="0" fontId="6" fillId="2" borderId="11" xfId="0" applyFont="1" applyFill="1" applyBorder="1" applyAlignment="1" applyProtection="1">
      <alignment horizontal="center"/>
      <protection hidden="1"/>
    </xf>
    <xf numFmtId="43" fontId="6" fillId="3" borderId="10" xfId="0" applyNumberFormat="1" applyFont="1" applyFill="1" applyBorder="1" applyProtection="1"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4" fontId="8" fillId="2" borderId="2" xfId="0" applyNumberFormat="1" applyFont="1" applyFill="1" applyBorder="1" applyAlignment="1" applyProtection="1">
      <protection hidden="1"/>
    </xf>
    <xf numFmtId="0" fontId="6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10" fillId="2" borderId="0" xfId="2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hidden="1"/>
    </xf>
    <xf numFmtId="0" fontId="9" fillId="2" borderId="6" xfId="0" applyFont="1" applyFill="1" applyBorder="1" applyAlignment="1" applyProtection="1">
      <alignment horizontal="center"/>
      <protection hidden="1"/>
    </xf>
    <xf numFmtId="0" fontId="9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167" fontId="5" fillId="2" borderId="0" xfId="0" applyNumberFormat="1" applyFont="1" applyFill="1" applyBorder="1" applyAlignment="1" applyProtection="1">
      <alignment horizontal="center" vertical="center"/>
      <protection hidden="1"/>
    </xf>
  </cellXfs>
  <cellStyles count="3">
    <cellStyle name="1000-sep (2 dec)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>
        <c:manualLayout>
          <c:layoutTarget val="inner"/>
          <c:xMode val="edge"/>
          <c:yMode val="edge"/>
          <c:x val="7.491925578268234E-2"/>
          <c:y val="2.2621270751913967E-2"/>
          <c:w val="0.56453059746841994"/>
          <c:h val="0.91119929538147593"/>
        </c:manualLayout>
      </c:layout>
      <c:lineChart>
        <c:grouping val="standard"/>
        <c:ser>
          <c:idx val="0"/>
          <c:order val="0"/>
          <c:tx>
            <c:strRef>
              <c:f>Trafo!$E$25</c:f>
              <c:strCache>
                <c:ptCount val="1"/>
                <c:pt idx="0">
                  <c:v>Hysteresis som funktion af P4 parallel forbindelse</c:v>
                </c:pt>
              </c:strCache>
            </c:strRef>
          </c:tx>
          <c:marker>
            <c:symbol val="none"/>
          </c:marker>
          <c:val>
            <c:numRef>
              <c:f>Trafo!$F$25:$P$25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Trafo!$E$26</c:f>
              <c:strCache>
                <c:ptCount val="1"/>
                <c:pt idx="0">
                  <c:v>P4 arm til top Ω</c:v>
                </c:pt>
              </c:strCache>
            </c:strRef>
          </c:tx>
          <c:marker>
            <c:symbol val="none"/>
          </c:marker>
          <c:val>
            <c:numRef>
              <c:f>Trafo!$F$26:$P$26</c:f>
              <c:numCache>
                <c:formatCode>#,##0</c:formatCode>
                <c:ptCount val="11"/>
                <c:pt idx="0">
                  <c:v>9999</c:v>
                </c:pt>
                <c:pt idx="1">
                  <c:v>9000</c:v>
                </c:pt>
                <c:pt idx="2">
                  <c:v>8000</c:v>
                </c:pt>
                <c:pt idx="3">
                  <c:v>7000</c:v>
                </c:pt>
                <c:pt idx="4">
                  <c:v>6000</c:v>
                </c:pt>
                <c:pt idx="5">
                  <c:v>5000</c:v>
                </c:pt>
                <c:pt idx="6">
                  <c:v>4000</c:v>
                </c:pt>
                <c:pt idx="7">
                  <c:v>3000</c:v>
                </c:pt>
                <c:pt idx="8">
                  <c:v>2000</c:v>
                </c:pt>
                <c:pt idx="9">
                  <c:v>1000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Trafo!$E$27</c:f>
              <c:strCache>
                <c:ptCount val="1"/>
                <c:pt idx="0">
                  <c:v>Px // Py parallel Ω</c:v>
                </c:pt>
              </c:strCache>
            </c:strRef>
          </c:tx>
          <c:marker>
            <c:symbol val="none"/>
          </c:marker>
          <c:val>
            <c:numRef>
              <c:f>Trafo!$F$27:$P$27</c:f>
              <c:numCache>
                <c:formatCode>#,##0</c:formatCode>
                <c:ptCount val="11"/>
                <c:pt idx="0">
                  <c:v>1</c:v>
                </c:pt>
                <c:pt idx="1">
                  <c:v>900</c:v>
                </c:pt>
                <c:pt idx="2">
                  <c:v>1600</c:v>
                </c:pt>
                <c:pt idx="3">
                  <c:v>2100</c:v>
                </c:pt>
                <c:pt idx="4">
                  <c:v>2400</c:v>
                </c:pt>
                <c:pt idx="5">
                  <c:v>2500</c:v>
                </c:pt>
                <c:pt idx="6">
                  <c:v>2400</c:v>
                </c:pt>
                <c:pt idx="7">
                  <c:v>2100</c:v>
                </c:pt>
                <c:pt idx="8">
                  <c:v>1600</c:v>
                </c:pt>
                <c:pt idx="9">
                  <c:v>900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strRef>
              <c:f>Trafo!$E$28</c:f>
              <c:strCache>
                <c:ptCount val="1"/>
                <c:pt idx="0">
                  <c:v>Hysteresis mV</c:v>
                </c:pt>
              </c:strCache>
            </c:strRef>
          </c:tx>
          <c:marker>
            <c:symbol val="none"/>
          </c:marker>
          <c:val>
            <c:numRef>
              <c:f>Trafo!$F$28:$P$28</c:f>
              <c:numCache>
                <c:formatCode>0.00</c:formatCode>
                <c:ptCount val="11"/>
                <c:pt idx="0">
                  <c:v>0.1</c:v>
                </c:pt>
                <c:pt idx="1">
                  <c:v>53.199999999999996</c:v>
                </c:pt>
                <c:pt idx="2">
                  <c:v>94.5</c:v>
                </c:pt>
                <c:pt idx="3">
                  <c:v>124.10000000000001</c:v>
                </c:pt>
                <c:pt idx="4">
                  <c:v>141.80000000000001</c:v>
                </c:pt>
                <c:pt idx="5">
                  <c:v>147.69999999999999</c:v>
                </c:pt>
                <c:pt idx="6">
                  <c:v>141.80000000000001</c:v>
                </c:pt>
                <c:pt idx="7">
                  <c:v>124.10000000000001</c:v>
                </c:pt>
                <c:pt idx="8">
                  <c:v>94.5</c:v>
                </c:pt>
                <c:pt idx="9">
                  <c:v>53.199999999999996</c:v>
                </c:pt>
                <c:pt idx="10">
                  <c:v>0.1</c:v>
                </c:pt>
              </c:numCache>
            </c:numRef>
          </c:val>
        </c:ser>
        <c:marker val="1"/>
        <c:axId val="121047296"/>
        <c:axId val="121069568"/>
      </c:lineChart>
      <c:catAx>
        <c:axId val="121047296"/>
        <c:scaling>
          <c:orientation val="minMax"/>
        </c:scaling>
        <c:axPos val="b"/>
        <c:numFmt formatCode="General" sourceLinked="1"/>
        <c:tickLblPos val="nextTo"/>
        <c:crossAx val="121069568"/>
        <c:crosses val="autoZero"/>
        <c:auto val="1"/>
        <c:lblAlgn val="ctr"/>
        <c:lblOffset val="100"/>
      </c:catAx>
      <c:valAx>
        <c:axId val="121069568"/>
        <c:scaling>
          <c:orientation val="minMax"/>
          <c:max val="10000"/>
        </c:scaling>
        <c:axPos val="l"/>
        <c:majorGridlines/>
        <c:numFmt formatCode="General" sourceLinked="1"/>
        <c:tickLblPos val="nextTo"/>
        <c:crossAx val="12104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273384349816776"/>
          <c:y val="0.3485500076379342"/>
          <c:w val="0.34412987356650765"/>
          <c:h val="0.30086239220097494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182880</xdr:colOff>
      <xdr:row>0</xdr:row>
      <xdr:rowOff>175260</xdr:rowOff>
    </xdr:from>
    <xdr:to>
      <xdr:col>15</xdr:col>
      <xdr:colOff>449580</xdr:colOff>
      <xdr:row>23</xdr:row>
      <xdr:rowOff>152400</xdr:rowOff>
    </xdr:to>
    <xdr:graphicFrame macro="">
      <xdr:nvGraphicFramePr>
        <xdr:cNvPr id="104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>
      <selection activeCell="D30" sqref="D30:E30"/>
    </sheetView>
  </sheetViews>
  <sheetFormatPr defaultColWidth="8.85546875" defaultRowHeight="14.25"/>
  <cols>
    <col min="1" max="1" width="45.5703125" style="1" bestFit="1" customWidth="1"/>
    <col min="2" max="2" width="9.28515625" style="1" bestFit="1" customWidth="1"/>
    <col min="3" max="3" width="5.28515625" style="1" bestFit="1" customWidth="1"/>
    <col min="4" max="4" width="20.7109375" style="22" customWidth="1"/>
    <col min="5" max="5" width="19.7109375" style="1" bestFit="1" customWidth="1"/>
    <col min="6" max="16" width="7.140625" style="1" customWidth="1"/>
    <col min="17" max="16384" width="8.85546875" style="1"/>
  </cols>
  <sheetData>
    <row r="1" spans="1:17" ht="19.899999999999999" customHeight="1">
      <c r="A1" s="42" t="s">
        <v>36</v>
      </c>
      <c r="B1" s="43"/>
      <c r="C1" s="43"/>
      <c r="D1" s="44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35"/>
    </row>
    <row r="2" spans="1:17" ht="19.899999999999999" customHeight="1">
      <c r="A2" s="2" t="s">
        <v>0</v>
      </c>
      <c r="B2" s="11">
        <v>4700</v>
      </c>
      <c r="C2" s="3" t="s">
        <v>1</v>
      </c>
      <c r="D2" s="14" t="s">
        <v>2</v>
      </c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35"/>
    </row>
    <row r="3" spans="1:17" ht="19.899999999999999" customHeight="1">
      <c r="A3" s="2" t="s">
        <v>17</v>
      </c>
      <c r="B3" s="11">
        <v>2425</v>
      </c>
      <c r="C3" s="3" t="s">
        <v>1</v>
      </c>
      <c r="D3" s="14" t="s">
        <v>3</v>
      </c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5"/>
    </row>
    <row r="4" spans="1:17" ht="19.899999999999999" customHeight="1">
      <c r="A4" s="28" t="s">
        <v>18</v>
      </c>
      <c r="B4" s="29">
        <f>+(B2*B3)/(B2-B3)</f>
        <v>5009.8901098901097</v>
      </c>
      <c r="C4" s="30" t="s">
        <v>1</v>
      </c>
      <c r="D4" s="31" t="s">
        <v>3</v>
      </c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35"/>
    </row>
    <row r="5" spans="1:17" ht="19.899999999999999" customHeight="1">
      <c r="A5" s="45" t="s">
        <v>4</v>
      </c>
      <c r="B5" s="46"/>
      <c r="C5" s="46"/>
      <c r="D5" s="47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35"/>
    </row>
    <row r="6" spans="1:17" ht="19.899999999999999" customHeight="1">
      <c r="A6" s="2" t="s">
        <v>6</v>
      </c>
      <c r="B6" s="12">
        <v>230</v>
      </c>
      <c r="C6" s="3" t="s">
        <v>5</v>
      </c>
      <c r="D6" s="14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35"/>
    </row>
    <row r="7" spans="1:17" ht="19.899999999999999" customHeight="1">
      <c r="A7" s="2" t="s">
        <v>7</v>
      </c>
      <c r="B7" s="12">
        <v>20.8</v>
      </c>
      <c r="C7" s="3" t="s">
        <v>5</v>
      </c>
      <c r="D7" s="14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35"/>
    </row>
    <row r="8" spans="1:17" ht="19.899999999999999" customHeight="1">
      <c r="A8" s="2" t="s">
        <v>8</v>
      </c>
      <c r="B8" s="8">
        <f>+B6/B7</f>
        <v>11.057692307692307</v>
      </c>
      <c r="C8" s="3"/>
      <c r="D8" s="14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35"/>
    </row>
    <row r="9" spans="1:17" ht="19.899999999999999" customHeight="1">
      <c r="A9" s="2" t="s">
        <v>19</v>
      </c>
      <c r="B9" s="12">
        <v>800</v>
      </c>
      <c r="C9" s="3" t="s">
        <v>1</v>
      </c>
      <c r="D9" s="14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35"/>
    </row>
    <row r="10" spans="1:17" ht="19.899999999999999" customHeight="1">
      <c r="A10" s="2" t="s">
        <v>20</v>
      </c>
      <c r="B10" s="12">
        <v>12.790573408947708</v>
      </c>
      <c r="C10" s="3" t="s">
        <v>1</v>
      </c>
      <c r="D10" s="14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35"/>
    </row>
    <row r="11" spans="1:17" ht="19.899999999999999" customHeight="1">
      <c r="A11" s="2" t="s">
        <v>9</v>
      </c>
      <c r="B11" s="12">
        <v>0.3</v>
      </c>
      <c r="C11" s="3" t="s">
        <v>21</v>
      </c>
      <c r="D11" s="14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35"/>
    </row>
    <row r="12" spans="1:17" ht="19.899999999999999" customHeight="1">
      <c r="A12" s="2" t="s">
        <v>11</v>
      </c>
      <c r="B12" s="9">
        <f>+B11*B10</f>
        <v>3.837172022684312</v>
      </c>
      <c r="C12" s="3" t="s">
        <v>5</v>
      </c>
      <c r="D12" s="14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35"/>
    </row>
    <row r="13" spans="1:17" ht="19.899999999999999" customHeight="1">
      <c r="A13" s="2" t="s">
        <v>10</v>
      </c>
      <c r="B13" s="10">
        <f>+B11/B8</f>
        <v>2.7130434782608698E-2</v>
      </c>
      <c r="C13" s="3" t="s">
        <v>21</v>
      </c>
      <c r="D13" s="14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35"/>
    </row>
    <row r="14" spans="1:17" ht="19.899999999999999" customHeight="1">
      <c r="A14" s="2" t="s">
        <v>12</v>
      </c>
      <c r="B14" s="9">
        <f>+B13*B9</f>
        <v>21.704347826086959</v>
      </c>
      <c r="C14" s="3" t="s">
        <v>5</v>
      </c>
      <c r="D14" s="14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5"/>
    </row>
    <row r="15" spans="1:17" ht="19.899999999999999" customHeight="1">
      <c r="A15" s="2" t="s">
        <v>13</v>
      </c>
      <c r="B15" s="9">
        <f>+B14/B8</f>
        <v>1.9628279773156905</v>
      </c>
      <c r="C15" s="3" t="s">
        <v>5</v>
      </c>
      <c r="D15" s="14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  <c r="Q15" s="35"/>
    </row>
    <row r="16" spans="1:17" ht="19.899999999999999" customHeight="1">
      <c r="A16" s="2" t="s">
        <v>14</v>
      </c>
      <c r="B16" s="9">
        <f>+B12+B15</f>
        <v>5.8000000000000025</v>
      </c>
      <c r="C16" s="3" t="s">
        <v>5</v>
      </c>
      <c r="D16" s="14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35"/>
    </row>
    <row r="17" spans="1:17" ht="19.899999999999999" customHeight="1">
      <c r="A17" s="2" t="s">
        <v>16</v>
      </c>
      <c r="B17" s="9">
        <f>+B16/B11</f>
        <v>19.333333333333343</v>
      </c>
      <c r="C17" s="3" t="s">
        <v>1</v>
      </c>
      <c r="D17" s="14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35"/>
    </row>
    <row r="18" spans="1:17" ht="19.899999999999999" customHeight="1">
      <c r="A18" s="2" t="s">
        <v>15</v>
      </c>
      <c r="B18" s="9">
        <f>+B7-B16</f>
        <v>14.999999999999998</v>
      </c>
      <c r="C18" s="3" t="s">
        <v>5</v>
      </c>
      <c r="D18" s="14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35"/>
    </row>
    <row r="19" spans="1:17" ht="19.899999999999999" customHeight="1">
      <c r="A19" s="28" t="s">
        <v>31</v>
      </c>
      <c r="B19" s="32">
        <v>14</v>
      </c>
      <c r="C19" s="30" t="s">
        <v>5</v>
      </c>
      <c r="D19" s="31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4"/>
      <c r="Q19" s="35"/>
    </row>
    <row r="20" spans="1:17" ht="19.899999999999999" customHeight="1">
      <c r="A20" s="45" t="s">
        <v>22</v>
      </c>
      <c r="B20" s="46"/>
      <c r="C20" s="46"/>
      <c r="D20" s="47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4"/>
      <c r="Q20" s="35"/>
    </row>
    <row r="21" spans="1:17" ht="19.899999999999999" customHeight="1">
      <c r="A21" s="2" t="s">
        <v>28</v>
      </c>
      <c r="B21" s="8">
        <f>+B19-1</f>
        <v>13</v>
      </c>
      <c r="C21" s="3" t="s">
        <v>5</v>
      </c>
      <c r="D21" s="19" t="s">
        <v>29</v>
      </c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  <c r="Q21" s="35"/>
    </row>
    <row r="22" spans="1:17" ht="19.899999999999999" customHeight="1">
      <c r="A22" s="2" t="s">
        <v>23</v>
      </c>
      <c r="B22" s="7">
        <v>10000</v>
      </c>
      <c r="C22" s="3" t="s">
        <v>1</v>
      </c>
      <c r="D22" s="33">
        <v>6.5</v>
      </c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4"/>
      <c r="Q22" s="35"/>
    </row>
    <row r="23" spans="1:17" ht="19.899999999999999" customHeight="1">
      <c r="A23" s="2" t="s">
        <v>32</v>
      </c>
      <c r="B23" s="7">
        <f>+B22-B24</f>
        <v>4642.8571428571431</v>
      </c>
      <c r="C23" s="3" t="s">
        <v>1</v>
      </c>
      <c r="D23" s="20" t="s">
        <v>30</v>
      </c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4"/>
      <c r="Q23" s="35"/>
    </row>
    <row r="24" spans="1:17" ht="19.899999999999999" customHeight="1" thickBot="1">
      <c r="A24" s="2" t="s">
        <v>33</v>
      </c>
      <c r="B24" s="7">
        <f>+D24/(B19/B22)</f>
        <v>5357.1428571428569</v>
      </c>
      <c r="C24" s="3" t="s">
        <v>1</v>
      </c>
      <c r="D24" s="23">
        <f>7+(7-D22)</f>
        <v>7.5</v>
      </c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4"/>
      <c r="Q24" s="35"/>
    </row>
    <row r="25" spans="1:17" ht="19.899999999999999" customHeight="1">
      <c r="A25" s="2" t="s">
        <v>24</v>
      </c>
      <c r="B25" s="11">
        <v>220000</v>
      </c>
      <c r="C25" s="3" t="s">
        <v>1</v>
      </c>
      <c r="D25" s="14" t="str">
        <f>IF(B22=D26,"OK",FALSE)</f>
        <v>OK</v>
      </c>
      <c r="E25" s="48" t="s">
        <v>27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  <c r="Q25" s="35"/>
    </row>
    <row r="26" spans="1:17" ht="19.899999999999999" customHeight="1">
      <c r="A26" s="2" t="s">
        <v>37</v>
      </c>
      <c r="B26" s="13">
        <f>+(B23*B24)/(B23+B24)</f>
        <v>2487.2448979591836</v>
      </c>
      <c r="C26" s="3" t="s">
        <v>1</v>
      </c>
      <c r="D26" s="34">
        <f>+B23+B24</f>
        <v>10000</v>
      </c>
      <c r="E26" s="2" t="s">
        <v>34</v>
      </c>
      <c r="F26" s="24">
        <v>9999</v>
      </c>
      <c r="G26" s="24">
        <v>9000</v>
      </c>
      <c r="H26" s="24">
        <v>8000</v>
      </c>
      <c r="I26" s="24">
        <v>7000</v>
      </c>
      <c r="J26" s="24">
        <v>6000</v>
      </c>
      <c r="K26" s="24">
        <v>5000</v>
      </c>
      <c r="L26" s="24">
        <v>4000</v>
      </c>
      <c r="M26" s="24">
        <v>3000</v>
      </c>
      <c r="N26" s="24">
        <v>2000</v>
      </c>
      <c r="O26" s="24">
        <v>1000</v>
      </c>
      <c r="P26" s="25">
        <v>1</v>
      </c>
      <c r="Q26" s="35"/>
    </row>
    <row r="27" spans="1:17" ht="19.899999999999999" customHeight="1">
      <c r="A27" s="2" t="s">
        <v>38</v>
      </c>
      <c r="B27" s="10">
        <f>+B26/B25</f>
        <v>1.1305658627087198E-2</v>
      </c>
      <c r="C27" s="3"/>
      <c r="D27" s="14"/>
      <c r="E27" s="2" t="s">
        <v>35</v>
      </c>
      <c r="F27" s="24">
        <v>1</v>
      </c>
      <c r="G27" s="24">
        <v>900</v>
      </c>
      <c r="H27" s="24">
        <v>1600</v>
      </c>
      <c r="I27" s="24">
        <v>2100</v>
      </c>
      <c r="J27" s="24">
        <v>2400</v>
      </c>
      <c r="K27" s="24">
        <v>2500</v>
      </c>
      <c r="L27" s="24">
        <v>2400</v>
      </c>
      <c r="M27" s="24">
        <v>2100</v>
      </c>
      <c r="N27" s="24">
        <v>1600</v>
      </c>
      <c r="O27" s="24">
        <v>900</v>
      </c>
      <c r="P27" s="25">
        <v>1</v>
      </c>
      <c r="Q27" s="35"/>
    </row>
    <row r="28" spans="1:17" ht="19.899999999999999" customHeight="1" thickBot="1">
      <c r="A28" s="5" t="s">
        <v>25</v>
      </c>
      <c r="B28" s="15">
        <f>+B27*B21</f>
        <v>0.14697356215213359</v>
      </c>
      <c r="C28" s="6" t="s">
        <v>5</v>
      </c>
      <c r="D28" s="21"/>
      <c r="E28" s="5" t="s">
        <v>26</v>
      </c>
      <c r="F28" s="26">
        <f>0.0001*1000</f>
        <v>0.1</v>
      </c>
      <c r="G28" s="26">
        <f>0.0532*1000</f>
        <v>53.199999999999996</v>
      </c>
      <c r="H28" s="26">
        <f>0.0945*1000</f>
        <v>94.5</v>
      </c>
      <c r="I28" s="26">
        <f>0.1241*1000</f>
        <v>124.10000000000001</v>
      </c>
      <c r="J28" s="26">
        <f>0.1418*1000</f>
        <v>141.80000000000001</v>
      </c>
      <c r="K28" s="26">
        <f>0.1477*1000</f>
        <v>147.69999999999999</v>
      </c>
      <c r="L28" s="26">
        <f>0.1418*1000</f>
        <v>141.80000000000001</v>
      </c>
      <c r="M28" s="26">
        <f>0.1241*1000</f>
        <v>124.10000000000001</v>
      </c>
      <c r="N28" s="26">
        <f>0.0945*1000</f>
        <v>94.5</v>
      </c>
      <c r="O28" s="26">
        <f>0.0532*1000</f>
        <v>53.199999999999996</v>
      </c>
      <c r="P28" s="27">
        <f>0.0001*1000</f>
        <v>0.1</v>
      </c>
      <c r="Q28" s="35"/>
    </row>
    <row r="29" spans="1:17" ht="19.899999999999999" customHeight="1">
      <c r="A29" s="35"/>
      <c r="B29" s="35"/>
      <c r="C29" s="35"/>
      <c r="D29" s="3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9.899999999999999" customHeight="1">
      <c r="A30" s="35"/>
      <c r="B30" s="35"/>
      <c r="C30" s="35"/>
      <c r="D30" s="51"/>
      <c r="E30" s="51"/>
      <c r="F30" s="35"/>
      <c r="G30" s="37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9.899999999999999" customHeight="1">
      <c r="A31" s="35"/>
      <c r="B31" s="35"/>
      <c r="C31" s="35"/>
      <c r="D31" s="51" t="s">
        <v>39</v>
      </c>
      <c r="E31" s="51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9.899999999999999" customHeight="1">
      <c r="A32" s="35"/>
      <c r="B32" s="35"/>
      <c r="C32" s="35"/>
      <c r="D32" s="39" t="s">
        <v>40</v>
      </c>
      <c r="E32" s="39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9.899999999999999" customHeight="1">
      <c r="A33" s="35"/>
      <c r="B33" s="35"/>
      <c r="C33" s="35"/>
      <c r="D33" s="40" t="s">
        <v>41</v>
      </c>
      <c r="E33" s="40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9.899999999999999" customHeight="1">
      <c r="A34" s="38" t="s">
        <v>42</v>
      </c>
      <c r="B34" s="35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41" t="s">
        <v>43</v>
      </c>
      <c r="P34" s="41"/>
      <c r="Q34" s="41"/>
    </row>
    <row r="35" spans="1:17" ht="19.899999999999999" customHeight="1"/>
    <row r="36" spans="1:17" ht="19.899999999999999" customHeight="1"/>
    <row r="37" spans="1:17" ht="19.899999999999999" customHeight="1"/>
    <row r="38" spans="1:17" ht="19.899999999999999" customHeight="1"/>
    <row r="39" spans="1:17" ht="19.899999999999999" customHeight="1"/>
    <row r="40" spans="1:17" ht="19.899999999999999" customHeight="1"/>
    <row r="41" spans="1:17" ht="19.899999999999999" customHeight="1"/>
    <row r="42" spans="1:17" ht="19.899999999999999" customHeight="1"/>
    <row r="43" spans="1:17" ht="19.899999999999999" customHeight="1"/>
  </sheetData>
  <mergeCells count="9">
    <mergeCell ref="D32:E32"/>
    <mergeCell ref="D33:E33"/>
    <mergeCell ref="O34:Q34"/>
    <mergeCell ref="A1:D1"/>
    <mergeCell ref="A5:D5"/>
    <mergeCell ref="A20:D20"/>
    <mergeCell ref="E25:P25"/>
    <mergeCell ref="D30:E30"/>
    <mergeCell ref="D31:E31"/>
  </mergeCells>
  <hyperlinks>
    <hyperlink ref="D32" r:id="rId1"/>
  </hyperlinks>
  <pageMargins left="0.7" right="0.7" top="0.75" bottom="0.75" header="0.3" footer="0.3"/>
  <pageSetup paperSize="9" orientation="portrait" r:id="rId2"/>
  <ignoredErrors>
    <ignoredError sqref="K28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Trafo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dcterms:created xsi:type="dcterms:W3CDTF">2011-05-24T08:06:10Z</dcterms:created>
  <dcterms:modified xsi:type="dcterms:W3CDTF">2018-09-17T20:23:11Z</dcterms:modified>
</cp:coreProperties>
</file>